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80" yWindow="660" windowWidth="22740" windowHeight="15340" activeTab="0"/>
  </bookViews>
  <sheets>
    <sheet name="7S" sheetId="1" r:id="rId1"/>
    <sheet name="CC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<sst xmlns="http://schemas.openxmlformats.org/spreadsheetml/2006/main" count="52" uniqueCount="26">
  <si>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Main wheel</t>
  </si>
  <si>
    <t>Tail wheel</t>
  </si>
  <si>
    <t>#</t>
  </si>
  <si>
    <t>Arm</t>
  </si>
  <si>
    <t>Moment</t>
  </si>
  <si>
    <t>Empty</t>
  </si>
  <si>
    <t>Weight and Balance with minimum weight pilot</t>
  </si>
  <si>
    <t>Front</t>
  </si>
  <si>
    <t>Rear</t>
  </si>
  <si>
    <t>CG</t>
  </si>
  <si>
    <t>CG Limits</t>
  </si>
  <si>
    <t>Forward</t>
  </si>
  <si>
    <t>Aft</t>
  </si>
  <si>
    <t>Weight and Balance for this flight</t>
  </si>
  <si>
    <t>Baggage</t>
  </si>
  <si>
    <t>Front pilot</t>
  </si>
  <si>
    <t>Rear Pilot</t>
  </si>
  <si>
    <t>Front parachute</t>
  </si>
  <si>
    <t>Rear Parachute</t>
  </si>
  <si>
    <t>Weight Limits</t>
  </si>
  <si>
    <t>Total</t>
  </si>
  <si>
    <t>CC</t>
  </si>
  <si>
    <t>Grob Twin II</t>
  </si>
  <si>
    <t>Trim Weights</t>
  </si>
  <si>
    <t>125CC</t>
  </si>
  <si>
    <t xml:space="preserve">Grob Twin II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</si>
</sst>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0.0"/>
  </numFmts>
  <fonts count="47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10"/>
      <color indexed="10"/>
      <name val="MS Sans Serif"/>
      <family val="2"/>
    </font>
    <font>
      <sz val="12"/>
      <name val="Arial"/>
      <family val="2"/>
    </font>
    <font>
      <sz val="3"/>
      <color indexed="8"/>
      <name val="Arial"/>
      <family val="0"/>
    </font>
    <font>
      <sz val="8"/>
      <color indexed="8"/>
      <name val="Arial"/>
      <family val="0"/>
    </font>
    <font>
      <sz val="4"/>
      <color indexed="8"/>
      <name val="Arial"/>
      <family val="0"/>
    </font>
    <font>
      <sz val="10"/>
      <name val="MS Sans Serif"/>
      <family val="2"/>
    </font>
    <font>
      <sz val="3.7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65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2" fontId="8" fillId="33" borderId="0" xfId="0" applyNumberFormat="1" applyFont="1" applyFill="1" applyBorder="1" applyAlignment="1" applyProtection="1">
      <alignment vertical="top"/>
      <protection/>
    </xf>
    <xf numFmtId="166" fontId="0" fillId="33" borderId="0" xfId="0" applyNumberForma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4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for this flight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2525"/>
          <c:w val="0.84125"/>
          <c:h val="0.4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7S!$E$22</c:f>
              <c:numCache/>
            </c:numRef>
          </c:val>
        </c:ser>
        <c:gapWidth val="10"/>
        <c:axId val="21194172"/>
        <c:axId val="56529821"/>
      </c:barChart>
      <c:catAx>
        <c:axId val="21194172"/>
        <c:scaling>
          <c:orientation val="minMax"/>
        </c:scaling>
        <c:axPos val="l"/>
        <c:delete val="1"/>
        <c:majorTickMark val="out"/>
        <c:minorTickMark val="none"/>
        <c:tickLblPos val="nextTo"/>
        <c:crossAx val="56529821"/>
        <c:crossesAt val="10.24"/>
        <c:auto val="1"/>
        <c:lblOffset val="100"/>
        <c:tickLblSkip val="1"/>
        <c:noMultiLvlLbl val="0"/>
      </c:catAx>
      <c:valAx>
        <c:axId val="56529821"/>
        <c:scaling>
          <c:orientation val="minMax"/>
          <c:max val="18.1"/>
          <c:min val="10.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&lt;&lt; Forward Limit   ------   Rear Limit &gt;&gt;</a:t>
                </a:r>
              </a:p>
            </c:rich>
          </c:tx>
          <c:layout>
            <c:manualLayout>
              <c:xMode val="factor"/>
              <c:yMode val="factor"/>
              <c:x val="0.79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  <c:majorUnit val="7.86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Weight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this flight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171"/>
          <c:w val="0.359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7S!$B$22</c:f>
              <c:numCache/>
            </c:numRef>
          </c:val>
        </c:ser>
        <c:gapWidth val="10"/>
        <c:axId val="39006342"/>
        <c:axId val="15512759"/>
      </c:barChart>
      <c:catAx>
        <c:axId val="39006342"/>
        <c:scaling>
          <c:orientation val="minMax"/>
        </c:scaling>
        <c:axPos val="b"/>
        <c:delete val="1"/>
        <c:majorTickMark val="out"/>
        <c:minorTickMark val="none"/>
        <c:tickLblPos val="nextTo"/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  <c:max val="1279"/>
          <c:min val="97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6342"/>
        <c:crossesAt val="1"/>
        <c:crossBetween val="between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 for this flight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47"/>
          <c:w val="0.84125"/>
          <c:h val="0.3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'CC'!$E$22</c:f>
              <c:numCache/>
            </c:numRef>
          </c:val>
        </c:ser>
        <c:gapWidth val="10"/>
        <c:axId val="5397104"/>
        <c:axId val="48573937"/>
      </c:barChart>
      <c:catAx>
        <c:axId val="5397104"/>
        <c:scaling>
          <c:orientation val="minMax"/>
        </c:scaling>
        <c:axPos val="l"/>
        <c:delete val="1"/>
        <c:majorTickMark val="out"/>
        <c:minorTickMark val="none"/>
        <c:tickLblPos val="nextTo"/>
        <c:crossAx val="48573937"/>
        <c:crossesAt val="10.24"/>
        <c:auto val="1"/>
        <c:lblOffset val="100"/>
        <c:tickLblSkip val="1"/>
        <c:noMultiLvlLbl val="0"/>
      </c:catAx>
      <c:valAx>
        <c:axId val="48573937"/>
        <c:scaling>
          <c:orientation val="minMax"/>
          <c:max val="18.1"/>
          <c:min val="10.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&lt;&lt; Forward Limit   ------   Rear Limit &gt;&gt;</a:t>
                </a:r>
              </a:p>
            </c:rich>
          </c:tx>
          <c:layout>
            <c:manualLayout>
              <c:xMode val="factor"/>
              <c:yMode val="factor"/>
              <c:x val="0.941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04"/>
        <c:crossesAt val="1"/>
        <c:crossBetween val="between"/>
        <c:dispUnits/>
        <c:majorUnit val="7.86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Gross Weight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for this flight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"/>
          <c:y val="0.1795"/>
          <c:w val="0.3542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'CC'!$B$22</c:f>
              <c:numCache/>
            </c:numRef>
          </c:val>
        </c:ser>
        <c:gapWidth val="10"/>
        <c:axId val="34512250"/>
        <c:axId val="42174795"/>
      </c:barChart>
      <c:catAx>
        <c:axId val="345122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  <c:max val="1279"/>
          <c:min val="97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2250"/>
        <c:crossesAt val="1"/>
        <c:crossBetween val="between"/>
        <c:dispUnits/>
        <c:maj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2</xdr:row>
      <xdr:rowOff>104775</xdr:rowOff>
    </xdr:from>
    <xdr:to>
      <xdr:col>8</xdr:col>
      <xdr:colOff>238125</xdr:colOff>
      <xdr:row>10</xdr:row>
      <xdr:rowOff>95250</xdr:rowOff>
    </xdr:to>
    <xdr:pic>
      <xdr:nvPicPr>
        <xdr:cNvPr id="1" name="Picture 6" descr="C:\My Photos\Soaring\Truckee\IMG_0793 copy crop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9125"/>
          <a:ext cx="1971675" cy="1295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314325</xdr:colOff>
      <xdr:row>10</xdr:row>
      <xdr:rowOff>152400</xdr:rowOff>
    </xdr:from>
    <xdr:to>
      <xdr:col>8</xdr:col>
      <xdr:colOff>238125</xdr:colOff>
      <xdr:row>18</xdr:row>
      <xdr:rowOff>38100</xdr:rowOff>
    </xdr:to>
    <xdr:graphicFrame>
      <xdr:nvGraphicFramePr>
        <xdr:cNvPr id="2" name="Chart 7"/>
        <xdr:cNvGraphicFramePr/>
      </xdr:nvGraphicFramePr>
      <xdr:xfrm>
        <a:off x="3876675" y="1971675"/>
        <a:ext cx="1971675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18</xdr:row>
      <xdr:rowOff>104775</xdr:rowOff>
    </xdr:from>
    <xdr:to>
      <xdr:col>8</xdr:col>
      <xdr:colOff>238125</xdr:colOff>
      <xdr:row>30</xdr:row>
      <xdr:rowOff>152400</xdr:rowOff>
    </xdr:to>
    <xdr:graphicFrame>
      <xdr:nvGraphicFramePr>
        <xdr:cNvPr id="3" name="Chart 9"/>
        <xdr:cNvGraphicFramePr/>
      </xdr:nvGraphicFramePr>
      <xdr:xfrm>
        <a:off x="3876675" y="3162300"/>
        <a:ext cx="19716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</xdr:row>
      <xdr:rowOff>85725</xdr:rowOff>
    </xdr:from>
    <xdr:to>
      <xdr:col>8</xdr:col>
      <xdr:colOff>552450</xdr:colOff>
      <xdr:row>10</xdr:row>
      <xdr:rowOff>95250</xdr:rowOff>
    </xdr:to>
    <xdr:pic>
      <xdr:nvPicPr>
        <xdr:cNvPr id="1" name="Picture 6" descr="C:\My Photos\Soaring\Silverado\4Bob&amp;Carole copy cli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600075"/>
          <a:ext cx="19812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400050</xdr:colOff>
      <xdr:row>11</xdr:row>
      <xdr:rowOff>9525</xdr:rowOff>
    </xdr:from>
    <xdr:to>
      <xdr:col>8</xdr:col>
      <xdr:colOff>542925</xdr:colOff>
      <xdr:row>18</xdr:row>
      <xdr:rowOff>47625</xdr:rowOff>
    </xdr:to>
    <xdr:graphicFrame>
      <xdr:nvGraphicFramePr>
        <xdr:cNvPr id="2" name="Chart 11"/>
        <xdr:cNvGraphicFramePr/>
      </xdr:nvGraphicFramePr>
      <xdr:xfrm>
        <a:off x="3962400" y="1990725"/>
        <a:ext cx="1971675" cy="111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400050</xdr:colOff>
      <xdr:row>18</xdr:row>
      <xdr:rowOff>104775</xdr:rowOff>
    </xdr:from>
    <xdr:to>
      <xdr:col>8</xdr:col>
      <xdr:colOff>533400</xdr:colOff>
      <xdr:row>30</xdr:row>
      <xdr:rowOff>133350</xdr:rowOff>
    </xdr:to>
    <xdr:graphicFrame>
      <xdr:nvGraphicFramePr>
        <xdr:cNvPr id="3" name="Chart 12"/>
        <xdr:cNvGraphicFramePr/>
      </xdr:nvGraphicFramePr>
      <xdr:xfrm>
        <a:off x="3962400" y="3162300"/>
        <a:ext cx="196215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M13" sqref="M13"/>
    </sheetView>
  </sheetViews>
  <sheetFormatPr defaultColWidth="8.8515625" defaultRowHeight="12.75"/>
  <cols>
    <col min="1" max="1" width="14.7109375" style="1" customWidth="1"/>
    <col min="2" max="2" width="8.7109375" style="1" customWidth="1"/>
    <col min="3" max="3" width="9.8515625" style="1" customWidth="1"/>
    <col min="4" max="4" width="12.7109375" style="1" customWidth="1"/>
    <col min="5" max="5" width="7.421875" style="1" customWidth="1"/>
    <col min="6" max="6" width="8.8515625" style="1" customWidth="1"/>
    <col min="7" max="7" width="11.421875" style="1" customWidth="1"/>
    <col min="8" max="8" width="10.421875" style="1" customWidth="1"/>
    <col min="9" max="16384" width="8.8515625" style="1" customWidth="1"/>
  </cols>
  <sheetData>
    <row r="1" spans="1:10" s="13" customFormat="1" ht="22.5">
      <c r="A1" s="17" t="s">
        <v>24</v>
      </c>
      <c r="B1" s="17"/>
      <c r="C1" s="17"/>
      <c r="D1" s="17"/>
      <c r="E1" s="17"/>
      <c r="F1" s="18"/>
      <c r="G1" s="18"/>
      <c r="H1" s="18"/>
      <c r="I1" s="18"/>
      <c r="J1" s="18"/>
    </row>
    <row r="2" spans="1:10" s="13" customFormat="1" ht="18" customHeight="1">
      <c r="A2" s="19" t="s">
        <v>25</v>
      </c>
      <c r="B2" s="19"/>
      <c r="C2" s="19"/>
      <c r="D2" s="19"/>
      <c r="E2" s="19"/>
      <c r="F2" s="18"/>
      <c r="G2" s="18"/>
      <c r="H2" s="18"/>
      <c r="I2" s="18"/>
      <c r="J2" s="18"/>
    </row>
    <row r="3" ht="12.75"/>
    <row r="4" spans="2:6" ht="12.75">
      <c r="B4" s="2" t="s">
        <v>2</v>
      </c>
      <c r="C4" s="2" t="s">
        <v>3</v>
      </c>
      <c r="D4" s="2" t="s">
        <v>4</v>
      </c>
      <c r="E4" s="2" t="s">
        <v>9</v>
      </c>
      <c r="F4" s="3"/>
    </row>
    <row r="5" spans="1:5" ht="12.75">
      <c r="A5" s="3" t="s">
        <v>5</v>
      </c>
      <c r="C5" s="4"/>
      <c r="D5" s="4"/>
      <c r="E5" s="4"/>
    </row>
    <row r="6" spans="1:5" ht="12.75">
      <c r="A6" s="1" t="s">
        <v>0</v>
      </c>
      <c r="B6" s="1">
        <v>891.25</v>
      </c>
      <c r="C6" s="1">
        <v>21.4</v>
      </c>
      <c r="D6" s="5">
        <f>+B6*C6</f>
        <v>19072.75</v>
      </c>
      <c r="E6" s="6"/>
    </row>
    <row r="7" spans="1:5" ht="13.5" thickBot="1">
      <c r="A7" s="1" t="s">
        <v>1</v>
      </c>
      <c r="B7" s="1">
        <v>38.5</v>
      </c>
      <c r="C7" s="1">
        <v>192.625</v>
      </c>
      <c r="D7" s="5">
        <f>+B7*C7</f>
        <v>7416.0625</v>
      </c>
      <c r="E7" s="6"/>
    </row>
    <row r="8" spans="2:5" ht="12.75">
      <c r="B8" s="7">
        <f>SUM(B6:B7)</f>
        <v>929.75</v>
      </c>
      <c r="D8" s="8">
        <f>SUM(D6:D7)</f>
        <v>26488.8125</v>
      </c>
      <c r="E8" s="6">
        <f>+D8/B8</f>
        <v>28.490252756117236</v>
      </c>
    </row>
    <row r="9" ht="12.75">
      <c r="F9" s="6"/>
    </row>
    <row r="10" spans="1:6" ht="12.75">
      <c r="A10" s="3" t="s">
        <v>6</v>
      </c>
      <c r="F10" s="6"/>
    </row>
    <row r="11" spans="1:5" ht="12.75">
      <c r="A11" s="1" t="s">
        <v>7</v>
      </c>
      <c r="B11" s="1">
        <v>154</v>
      </c>
      <c r="C11" s="1">
        <v>-45.3</v>
      </c>
      <c r="D11" s="5">
        <f>+B11*C11</f>
        <v>-6976.2</v>
      </c>
      <c r="E11" s="6"/>
    </row>
    <row r="12" spans="1:5" ht="12.75" thickBot="1">
      <c r="A12" s="1" t="s">
        <v>8</v>
      </c>
      <c r="B12" s="1">
        <v>0</v>
      </c>
      <c r="C12" s="1">
        <v>1.6</v>
      </c>
      <c r="D12" s="5">
        <f>+B12*C12</f>
        <v>0</v>
      </c>
      <c r="E12" s="6"/>
    </row>
    <row r="13" spans="2:5" ht="12">
      <c r="B13" s="9">
        <f>+B8+B11+B12</f>
        <v>1083.75</v>
      </c>
      <c r="D13" s="8">
        <f>+D8+D11+D12</f>
        <v>19512.6125</v>
      </c>
      <c r="E13" s="6">
        <f>+D13/B13</f>
        <v>18.004717416378316</v>
      </c>
    </row>
    <row r="14" ht="12">
      <c r="F14" s="6"/>
    </row>
    <row r="15" spans="1:6" ht="12">
      <c r="A15" s="3" t="s">
        <v>13</v>
      </c>
      <c r="F15" s="6"/>
    </row>
    <row r="16" spans="1:5" ht="12">
      <c r="A16" s="1" t="s">
        <v>15</v>
      </c>
      <c r="B16" s="16">
        <v>170</v>
      </c>
      <c r="C16" s="1">
        <v>-45.3</v>
      </c>
      <c r="D16" s="5">
        <f aca="true" t="shared" si="0" ref="D16:D21">+B16*C16</f>
        <v>-7700.999999999999</v>
      </c>
      <c r="E16" s="6"/>
    </row>
    <row r="17" spans="1:5" ht="12">
      <c r="A17" s="1" t="s">
        <v>17</v>
      </c>
      <c r="B17" s="16">
        <v>15</v>
      </c>
      <c r="C17" s="1">
        <f>+C16</f>
        <v>-45.3</v>
      </c>
      <c r="D17" s="5">
        <f t="shared" si="0"/>
        <v>-679.5</v>
      </c>
      <c r="E17" s="6"/>
    </row>
    <row r="18" spans="1:5" ht="12">
      <c r="A18" s="1" t="s">
        <v>16</v>
      </c>
      <c r="B18" s="16">
        <v>120</v>
      </c>
      <c r="C18" s="1">
        <v>1.6</v>
      </c>
      <c r="D18" s="5">
        <f t="shared" si="0"/>
        <v>192</v>
      </c>
      <c r="E18" s="6"/>
    </row>
    <row r="19" spans="1:5" ht="12">
      <c r="A19" s="1" t="s">
        <v>18</v>
      </c>
      <c r="B19" s="16">
        <v>15</v>
      </c>
      <c r="C19" s="1">
        <f>+C18</f>
        <v>1.6</v>
      </c>
      <c r="D19" s="5">
        <f t="shared" si="0"/>
        <v>24</v>
      </c>
      <c r="E19" s="6"/>
    </row>
    <row r="20" spans="1:5" ht="12">
      <c r="A20" s="1" t="s">
        <v>14</v>
      </c>
      <c r="B20" s="16">
        <v>0</v>
      </c>
      <c r="D20" s="5">
        <f t="shared" si="0"/>
        <v>0</v>
      </c>
      <c r="E20" s="6"/>
    </row>
    <row r="21" spans="1:5" ht="12.75" thickBot="1">
      <c r="A21" s="1" t="s">
        <v>23</v>
      </c>
      <c r="B21" s="15">
        <f>IF($B$16+$B$17&gt;153,0,IF($B$16+$B$17&lt;121,"Too Small",IF($B$16+$B$17&gt;137,1*12.3,2*12.3)))</f>
        <v>0</v>
      </c>
      <c r="C21" s="1">
        <v>-58.92</v>
      </c>
      <c r="D21" s="5">
        <f t="shared" si="0"/>
        <v>0</v>
      </c>
      <c r="E21" s="6"/>
    </row>
    <row r="22" spans="2:9" ht="12.75">
      <c r="B22" s="9">
        <f>+B8+SUM(B16:B20)</f>
        <v>1249.75</v>
      </c>
      <c r="D22" s="8">
        <f>+D8+SUM(D16:D21)</f>
        <v>18324.3125</v>
      </c>
      <c r="E22" s="6">
        <f>+D22/B22</f>
        <v>14.6623824764953</v>
      </c>
      <c r="I22" s="10"/>
    </row>
    <row r="23" spans="6:9" ht="12.75">
      <c r="F23" s="6"/>
      <c r="I23" s="10"/>
    </row>
    <row r="24" spans="1:7" ht="12">
      <c r="A24" s="3" t="s">
        <v>10</v>
      </c>
      <c r="C24" s="3"/>
      <c r="D24" s="3"/>
      <c r="E24" s="3"/>
      <c r="F24" s="3"/>
      <c r="G24" s="3"/>
    </row>
    <row r="25" spans="1:8" ht="12.75">
      <c r="A25" s="1" t="s">
        <v>11</v>
      </c>
      <c r="B25" s="1">
        <v>10.24</v>
      </c>
      <c r="C25" s="10">
        <f>IF($E$22&lt;$B$25,"** Warning: Forward of CG limit!","")</f>
      </c>
      <c r="D25" s="6"/>
      <c r="H25" s="6"/>
    </row>
    <row r="26" spans="1:8" ht="12.75">
      <c r="A26" s="1" t="s">
        <v>12</v>
      </c>
      <c r="B26" s="1">
        <v>18.1</v>
      </c>
      <c r="C26" s="10">
        <f>IF($E$22&gt;$B$26,"** Warning: Aft of CG limit!","")</f>
      </c>
      <c r="D26" s="6"/>
      <c r="H26" s="6"/>
    </row>
    <row r="27" ht="12">
      <c r="D27" s="6"/>
    </row>
    <row r="28" ht="12">
      <c r="A28" s="3" t="s">
        <v>19</v>
      </c>
    </row>
    <row r="29" spans="1:8" ht="12.75">
      <c r="A29" s="11" t="s">
        <v>20</v>
      </c>
      <c r="B29" s="11">
        <v>1279</v>
      </c>
      <c r="C29" s="10">
        <f>IF($B$22&gt;$B$29,"** Warning: Over Gross!","")</f>
      </c>
      <c r="H29" s="6"/>
    </row>
    <row r="30" spans="1:8" ht="12.75">
      <c r="A30" s="11" t="s">
        <v>7</v>
      </c>
      <c r="B30" s="11">
        <v>242</v>
      </c>
      <c r="C30" s="10">
        <f>IF(($B$16+$B$17)&gt;$B$30,"** Warning: Over weight for front seat","")</f>
      </c>
      <c r="F30" s="6"/>
      <c r="H30" s="6"/>
    </row>
    <row r="31" spans="1:3" ht="12.75">
      <c r="A31" s="11" t="s">
        <v>8</v>
      </c>
      <c r="B31" s="11">
        <v>242</v>
      </c>
      <c r="C31" s="10">
        <f>IF(($B$18+$B$19)&gt;$B$31,"** Warning: Over weight for rear seat","")</f>
      </c>
    </row>
    <row r="32" spans="1:3" ht="12">
      <c r="A32" s="11"/>
      <c r="B32" s="11"/>
      <c r="C32" s="11"/>
    </row>
    <row r="33" spans="1:3" ht="12.75">
      <c r="A33" s="10">
        <f>IF($B$16+$B$17&gt;153,"",IF($B$16+$B$17&lt;121,"The front pilot is too small!",IF($B$16+$B$17&gt;137,"** Warning: You must add 1 ballast weight before taking off.","** Warning: You must add 2 ballast weights before taking off.")))</f>
      </c>
      <c r="B33" s="11"/>
      <c r="C33" s="11"/>
    </row>
    <row r="34" ht="12.75">
      <c r="A34" s="10">
        <f>IF(OR($B$20&lt;0,$B$20&gt;22),"** The maximum baggage weight is 22 pounds.","")</f>
      </c>
    </row>
    <row r="35" ht="12.75">
      <c r="A35" s="14">
        <f>IF($B$17=0,"** Flying without a parachute is taking unnecessary risk!","")</f>
      </c>
    </row>
    <row r="36" spans="1:2" ht="12.75">
      <c r="A36" s="14">
        <f>IF(AND($B$18&lt;&gt;0,$B$19=0),"** You should provide a parachute to your passenger!","")</f>
      </c>
      <c r="B36" s="6"/>
    </row>
    <row r="37" spans="1:2" ht="12.75">
      <c r="A37" s="14">
        <f>IF(AND($B$18&lt;&gt;0,AND($B$19=0,$B$17&lt;&gt;0)),"** You are wearing a parachute and not your passenger!","")</f>
      </c>
      <c r="B37" s="6"/>
    </row>
    <row r="38" ht="12.75">
      <c r="A38" s="14">
        <f>IF(AND($B$17&lt;&gt;0,$B$17&lt;&gt;15),"** If you are wearing a club parachute, it weighs about 15 pounds.","")</f>
      </c>
    </row>
    <row r="39" ht="12.75">
      <c r="A39" s="14">
        <f>IF(AND($B$19&lt;&gt;0,$B$19&lt;&gt;15),"** If your passenger is wearing a club parachute, it weighs 15 pounds.","")</f>
      </c>
    </row>
    <row r="43" spans="1:3" ht="12.75">
      <c r="A43" s="10"/>
      <c r="B43" s="11"/>
      <c r="C43" s="11"/>
    </row>
    <row r="44" spans="1:3" ht="12.75">
      <c r="A44" s="10"/>
      <c r="B44" s="11"/>
      <c r="C44" s="11"/>
    </row>
    <row r="45" ht="12.75">
      <c r="A45" s="10"/>
    </row>
    <row r="46" spans="1:2" ht="12.75">
      <c r="A46" s="10"/>
      <c r="B46" s="6"/>
    </row>
    <row r="47" spans="1:2" ht="12.75">
      <c r="A47" s="10"/>
      <c r="B47" s="6"/>
    </row>
    <row r="48" ht="12.75">
      <c r="A48" s="10"/>
    </row>
    <row r="49" ht="12.75">
      <c r="A49" s="10"/>
    </row>
    <row r="50" ht="12.75">
      <c r="A50" s="10"/>
    </row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31" sqref="C31"/>
    </sheetView>
  </sheetViews>
  <sheetFormatPr defaultColWidth="8.8515625" defaultRowHeight="12.75"/>
  <cols>
    <col min="1" max="1" width="14.8515625" style="1" customWidth="1"/>
    <col min="2" max="2" width="8.140625" style="1" bestFit="1" customWidth="1"/>
    <col min="3" max="3" width="10.140625" style="1" customWidth="1"/>
    <col min="4" max="4" width="12.8515625" style="1" customWidth="1"/>
    <col min="5" max="5" width="7.421875" style="1" customWidth="1"/>
    <col min="6" max="6" width="6.140625" style="1" customWidth="1"/>
    <col min="7" max="7" width="11.421875" style="1" customWidth="1"/>
    <col min="8" max="8" width="9.8515625" style="1" customWidth="1"/>
    <col min="9" max="9" width="9.140625" style="1" customWidth="1"/>
    <col min="10" max="10" width="9.421875" style="1" customWidth="1"/>
    <col min="11" max="16384" width="8.8515625" style="1" customWidth="1"/>
  </cols>
  <sheetData>
    <row r="1" spans="1:10" s="13" customFormat="1" ht="22.5">
      <c r="A1" s="17" t="s">
        <v>21</v>
      </c>
      <c r="B1" s="17"/>
      <c r="C1" s="17"/>
      <c r="D1" s="17"/>
      <c r="E1" s="17"/>
      <c r="F1" s="18"/>
      <c r="G1" s="18"/>
      <c r="H1" s="18"/>
      <c r="I1" s="18"/>
      <c r="J1" s="18"/>
    </row>
    <row r="2" spans="1:10" s="13" customFormat="1" ht="18" customHeight="1">
      <c r="A2" s="19" t="s">
        <v>22</v>
      </c>
      <c r="B2" s="19"/>
      <c r="C2" s="19"/>
      <c r="D2" s="19"/>
      <c r="E2" s="19"/>
      <c r="F2" s="18"/>
      <c r="G2" s="18"/>
      <c r="H2" s="18"/>
      <c r="I2" s="18"/>
      <c r="J2" s="18"/>
    </row>
    <row r="3" ht="12.75"/>
    <row r="4" spans="2:6" ht="12.75">
      <c r="B4" s="2" t="s">
        <v>2</v>
      </c>
      <c r="C4" s="2" t="s">
        <v>3</v>
      </c>
      <c r="D4" s="2" t="s">
        <v>4</v>
      </c>
      <c r="E4" s="2" t="s">
        <v>9</v>
      </c>
      <c r="F4" s="3"/>
    </row>
    <row r="5" spans="1:5" ht="12.75">
      <c r="A5" s="3" t="s">
        <v>5</v>
      </c>
      <c r="C5" s="4"/>
      <c r="D5" s="4"/>
      <c r="E5" s="4"/>
    </row>
    <row r="6" spans="1:5" ht="12.75">
      <c r="A6" s="1" t="s">
        <v>0</v>
      </c>
      <c r="B6" s="1">
        <v>853</v>
      </c>
      <c r="C6" s="1">
        <v>21.5</v>
      </c>
      <c r="D6" s="5">
        <f>+B6*C6</f>
        <v>18339.5</v>
      </c>
      <c r="E6" s="6"/>
    </row>
    <row r="7" spans="1:5" ht="13.5" thickBot="1">
      <c r="A7" s="1" t="s">
        <v>1</v>
      </c>
      <c r="B7" s="1">
        <v>38</v>
      </c>
      <c r="C7" s="1">
        <v>192.625</v>
      </c>
      <c r="D7" s="5">
        <f>+B7*C7</f>
        <v>7319.75</v>
      </c>
      <c r="E7" s="6"/>
    </row>
    <row r="8" spans="2:5" ht="12.75">
      <c r="B8" s="7">
        <f>SUM(B6:B7)</f>
        <v>891</v>
      </c>
      <c r="D8" s="8">
        <f>SUM(D6:D7)</f>
        <v>25659.25</v>
      </c>
      <c r="E8" s="6">
        <f>+D8/B8</f>
        <v>28.798260381593714</v>
      </c>
    </row>
    <row r="9" ht="12.75">
      <c r="F9" s="6"/>
    </row>
    <row r="10" spans="1:6" ht="12.75">
      <c r="A10" s="3" t="s">
        <v>6</v>
      </c>
      <c r="F10" s="6"/>
    </row>
    <row r="11" spans="1:5" ht="12.75">
      <c r="A11" s="1" t="s">
        <v>7</v>
      </c>
      <c r="B11" s="1">
        <v>154</v>
      </c>
      <c r="C11" s="1">
        <v>-45.3</v>
      </c>
      <c r="D11" s="5">
        <f>+B11*C11</f>
        <v>-6976.2</v>
      </c>
      <c r="E11" s="6"/>
    </row>
    <row r="12" spans="1:5" ht="12.75" thickBot="1">
      <c r="A12" s="1" t="s">
        <v>8</v>
      </c>
      <c r="B12" s="1">
        <v>0</v>
      </c>
      <c r="C12" s="1">
        <v>1.6</v>
      </c>
      <c r="D12" s="5">
        <f>+B12*C12</f>
        <v>0</v>
      </c>
      <c r="E12" s="6"/>
    </row>
    <row r="13" spans="2:5" ht="12">
      <c r="B13" s="9">
        <f>+B8+B11+B12</f>
        <v>1045</v>
      </c>
      <c r="D13" s="8">
        <f>+D8+D11+D12</f>
        <v>18683.05</v>
      </c>
      <c r="E13" s="6">
        <f>+D13/B13</f>
        <v>17.87851674641148</v>
      </c>
    </row>
    <row r="14" ht="12">
      <c r="F14" s="6"/>
    </row>
    <row r="15" spans="1:6" ht="12">
      <c r="A15" s="3" t="s">
        <v>13</v>
      </c>
      <c r="F15" s="6"/>
    </row>
    <row r="16" spans="1:5" ht="12">
      <c r="A16" s="1" t="s">
        <v>15</v>
      </c>
      <c r="B16" s="12">
        <v>170</v>
      </c>
      <c r="C16" s="1">
        <v>-45.3</v>
      </c>
      <c r="D16" s="5">
        <f aca="true" t="shared" si="0" ref="D16:D21">+B16*C16</f>
        <v>-7700.999999999999</v>
      </c>
      <c r="E16" s="6"/>
    </row>
    <row r="17" spans="1:5" ht="12">
      <c r="A17" s="1" t="s">
        <v>17</v>
      </c>
      <c r="B17" s="12">
        <v>15</v>
      </c>
      <c r="C17" s="1">
        <f>+C16</f>
        <v>-45.3</v>
      </c>
      <c r="D17" s="5">
        <f t="shared" si="0"/>
        <v>-679.5</v>
      </c>
      <c r="E17" s="6"/>
    </row>
    <row r="18" spans="1:5" ht="12">
      <c r="A18" s="1" t="s">
        <v>16</v>
      </c>
      <c r="B18" s="12">
        <v>175</v>
      </c>
      <c r="C18" s="1">
        <v>1.6</v>
      </c>
      <c r="D18" s="5">
        <f t="shared" si="0"/>
        <v>280</v>
      </c>
      <c r="E18" s="6"/>
    </row>
    <row r="19" spans="1:5" ht="12">
      <c r="A19" s="1" t="s">
        <v>18</v>
      </c>
      <c r="B19" s="12">
        <v>15</v>
      </c>
      <c r="C19" s="1">
        <f>+C18</f>
        <v>1.6</v>
      </c>
      <c r="D19" s="5">
        <f t="shared" si="0"/>
        <v>24</v>
      </c>
      <c r="E19" s="6"/>
    </row>
    <row r="20" spans="1:5" ht="12">
      <c r="A20" s="1" t="s">
        <v>14</v>
      </c>
      <c r="B20" s="12">
        <v>7</v>
      </c>
      <c r="D20" s="5">
        <f t="shared" si="0"/>
        <v>0</v>
      </c>
      <c r="E20" s="6"/>
    </row>
    <row r="21" spans="1:5" ht="12.75" thickBot="1">
      <c r="A21" s="1" t="s">
        <v>23</v>
      </c>
      <c r="B21" s="15">
        <f>IF($B$16+$B$17&gt;153,0,IF($B$16+$B$17&lt;121,"Too Small",IF($B$16+$B$17&gt;137,1*12.3,2*12.3)))</f>
        <v>0</v>
      </c>
      <c r="C21" s="1">
        <v>-58.92</v>
      </c>
      <c r="D21" s="5">
        <f t="shared" si="0"/>
        <v>0</v>
      </c>
      <c r="E21" s="6"/>
    </row>
    <row r="22" spans="2:9" ht="12.75">
      <c r="B22" s="9">
        <f>+B8+SUM(B16:B20)</f>
        <v>1273</v>
      </c>
      <c r="D22" s="8">
        <f>+D8+SUM(D16:D21)</f>
        <v>17582.75</v>
      </c>
      <c r="E22" s="6">
        <f>+D22/B22</f>
        <v>13.812058130400628</v>
      </c>
      <c r="I22" s="10"/>
    </row>
    <row r="23" spans="6:9" ht="12.75">
      <c r="F23" s="6"/>
      <c r="I23" s="10"/>
    </row>
    <row r="24" spans="1:7" ht="12">
      <c r="A24" s="3" t="s">
        <v>10</v>
      </c>
      <c r="C24" s="3"/>
      <c r="D24" s="3"/>
      <c r="E24" s="3"/>
      <c r="F24" s="3"/>
      <c r="G24" s="3"/>
    </row>
    <row r="25" spans="1:8" ht="12.75">
      <c r="A25" s="1" t="s">
        <v>11</v>
      </c>
      <c r="B25" s="1">
        <v>10.24</v>
      </c>
      <c r="C25" s="10">
        <f>IF($E$22&lt;$B$25,"** Warning: Forward of CG limit!","")</f>
      </c>
      <c r="D25" s="6"/>
      <c r="H25" s="6"/>
    </row>
    <row r="26" spans="1:8" ht="12.75">
      <c r="A26" s="1" t="s">
        <v>12</v>
      </c>
      <c r="B26" s="1">
        <v>18.1</v>
      </c>
      <c r="C26" s="10">
        <f>IF($E$22&gt;$B$26,"** Warning: Aft of CG limit!","")</f>
      </c>
      <c r="D26" s="6"/>
      <c r="H26" s="6"/>
    </row>
    <row r="27" ht="12">
      <c r="D27" s="6"/>
    </row>
    <row r="28" ht="12">
      <c r="A28" s="3" t="s">
        <v>19</v>
      </c>
    </row>
    <row r="29" spans="1:8" ht="12.75">
      <c r="A29" s="11" t="s">
        <v>20</v>
      </c>
      <c r="B29" s="11">
        <v>1279</v>
      </c>
      <c r="C29" s="10">
        <f>IF($B$22&gt;$B$29,"** Warning: Over Gross!","")</f>
      </c>
      <c r="H29" s="6"/>
    </row>
    <row r="30" spans="1:8" ht="12.75">
      <c r="A30" s="11" t="s">
        <v>7</v>
      </c>
      <c r="B30" s="11">
        <v>242</v>
      </c>
      <c r="C30" s="10">
        <f>IF(($B$16+$B$17)&gt;$B$30,"** Warning: Over weight for front seat","")</f>
      </c>
      <c r="F30" s="6"/>
      <c r="H30" s="6"/>
    </row>
    <row r="31" spans="1:3" ht="12.75">
      <c r="A31" s="11" t="s">
        <v>8</v>
      </c>
      <c r="B31" s="11">
        <v>242</v>
      </c>
      <c r="C31" s="10">
        <f>IF(($B$18+$B$19)&gt;$B$31,"** Warning: Over weight for rear seat","")</f>
      </c>
    </row>
    <row r="32" spans="1:3" ht="12">
      <c r="A32" s="11"/>
      <c r="B32" s="11"/>
      <c r="C32" s="11"/>
    </row>
    <row r="33" spans="1:3" ht="12.75">
      <c r="A33" s="10">
        <f>IF($B$16+$B$17&gt;153,"",IF($B$16+$B$17&lt;121,"The front pilot is too small!",IF($B$16+$B$17&gt;137,"** Warning: You must add 1 ballast weight before taking off.","** Warning: You must add 2 ballast weights before taking off.")))</f>
      </c>
      <c r="B33" s="11"/>
      <c r="C33" s="11"/>
    </row>
    <row r="34" ht="12.75">
      <c r="A34" s="10">
        <f>IF(OR($B$20&lt;0,$B$20&gt;22),"** The maximum baggage weight is 22 pounds.","")</f>
      </c>
    </row>
    <row r="35" ht="12.75">
      <c r="A35" s="14">
        <f>IF($B$17=0,"** Flying without a parachute is taking unnecessary risk!","")</f>
      </c>
    </row>
    <row r="36" spans="1:2" ht="12.75">
      <c r="A36" s="14">
        <f>IF(AND($B$18&lt;&gt;0,$B$19=0),"** You should provide a parachute to your passenger!","")</f>
      </c>
      <c r="B36" s="6"/>
    </row>
    <row r="37" spans="1:2" ht="12.75">
      <c r="A37" s="14">
        <f>IF(AND($B$18&lt;&gt;0,AND($B$19=0,$B$17&lt;&gt;0)),"** You are wearing a parachute and not your passenger!","")</f>
      </c>
      <c r="B37" s="6"/>
    </row>
    <row r="38" ht="12.75">
      <c r="A38" s="14">
        <f>IF(AND($B$17&lt;&gt;0,$B$17&lt;&gt;15),"** If you are wearing a club parachute, it weighs about 15 pounds.","")</f>
      </c>
    </row>
    <row r="39" ht="12.75">
      <c r="A39" s="14">
        <f>IF(AND($B$19&lt;&gt;0,$B$19&lt;&gt;15),"** If your passenger is wearing a club parachute, it weighs 15 pounds.","")</f>
      </c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D2Systems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Dunkel</dc:creator>
  <cp:keywords/>
  <dc:description/>
  <cp:lastModifiedBy>Ken Fo</cp:lastModifiedBy>
  <cp:lastPrinted>2014-01-13T16:38:53Z</cp:lastPrinted>
  <dcterms:created xsi:type="dcterms:W3CDTF">2003-06-02T16:04:16Z</dcterms:created>
  <dcterms:modified xsi:type="dcterms:W3CDTF">2014-03-30T15:32:05Z</dcterms:modified>
  <cp:category/>
  <cp:version/>
  <cp:contentType/>
  <cp:contentStatus/>
</cp:coreProperties>
</file>